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660" yWindow="90" windowWidth="12825" windowHeight="10110"/>
  </bookViews>
  <sheets>
    <sheet name="ACESSO" sheetId="1" r:id="rId1"/>
    <sheet name="Plan1" sheetId="2" r:id="rId2"/>
  </sheets>
  <definedNames>
    <definedName name="_xlnm.Print_Area" localSheetId="0">ACESSO!$A$1:$M$31</definedName>
    <definedName name="_xlnm.Print_Titles" localSheetId="0">ACESSO!$1:$29</definedName>
  </definedNames>
  <calcPr calcId="162913"/>
</workbook>
</file>

<file path=xl/calcChain.xml><?xml version="1.0" encoding="utf-8"?>
<calcChain xmlns="http://schemas.openxmlformats.org/spreadsheetml/2006/main">
  <c r="I17" i="1"/>
  <c r="H17"/>
  <c r="G13"/>
  <c r="L25" l="1"/>
  <c r="M25" s="1"/>
  <c r="L23"/>
  <c r="M13"/>
  <c r="K23"/>
  <c r="K21"/>
  <c r="J19"/>
  <c r="I19"/>
  <c r="H15"/>
  <c r="M15" l="1"/>
  <c r="M17"/>
  <c r="M19"/>
  <c r="M21"/>
  <c r="M23"/>
  <c r="M27"/>
  <c r="M12" s="1"/>
  <c r="H34" i="2"/>
  <c r="N28"/>
  <c r="N27"/>
  <c r="N26"/>
  <c r="H33"/>
  <c r="M29"/>
  <c r="L29"/>
  <c r="M28"/>
  <c r="M27"/>
  <c r="M26"/>
  <c r="J19"/>
  <c r="N19"/>
  <c r="O19"/>
  <c r="P19"/>
  <c r="R19"/>
  <c r="K6"/>
  <c r="K19" s="1"/>
  <c r="J6"/>
  <c r="I6"/>
  <c r="I19" s="1"/>
  <c r="P10"/>
  <c r="O10"/>
  <c r="N10"/>
  <c r="M10"/>
  <c r="L10"/>
  <c r="I10"/>
  <c r="P9"/>
  <c r="O9"/>
  <c r="N9"/>
  <c r="M9"/>
  <c r="M19" s="1"/>
  <c r="L9"/>
  <c r="L19" s="1"/>
  <c r="I9"/>
  <c r="H9"/>
  <c r="H10"/>
  <c r="H6"/>
  <c r="H19" s="1"/>
  <c r="K8"/>
  <c r="I8"/>
  <c r="H8"/>
  <c r="Q7"/>
  <c r="Q19" s="1"/>
  <c r="K7"/>
  <c r="I7"/>
  <c r="H7"/>
  <c r="N29" l="1"/>
  <c r="M20" i="1"/>
  <c r="M24"/>
  <c r="M14"/>
  <c r="M22"/>
  <c r="M16"/>
  <c r="M18"/>
  <c r="B8" i="2"/>
  <c r="C8"/>
  <c r="B12" l="1"/>
  <c r="B13" s="1"/>
</calcChain>
</file>

<file path=xl/sharedStrings.xml><?xml version="1.0" encoding="utf-8"?>
<sst xmlns="http://schemas.openxmlformats.org/spreadsheetml/2006/main" count="134" uniqueCount="85">
  <si>
    <t>TOTAL</t>
  </si>
  <si>
    <t>ITEM</t>
  </si>
  <si>
    <t>Responsável:</t>
  </si>
  <si>
    <t>Cliente:</t>
  </si>
  <si>
    <t>Projeto:</t>
  </si>
  <si>
    <t>Revisão:</t>
  </si>
  <si>
    <t>Data:</t>
  </si>
  <si>
    <t>PAISAGISMO</t>
  </si>
  <si>
    <t>Acesso à ACG do Brasil</t>
  </si>
  <si>
    <t>SINALIZAÇÃO</t>
  </si>
  <si>
    <t>AVENIDA</t>
  </si>
  <si>
    <t>ACESSO</t>
  </si>
  <si>
    <t>EXTENSÃO</t>
  </si>
  <si>
    <t>LARGURA</t>
  </si>
  <si>
    <t>DRENAGEM</t>
  </si>
  <si>
    <t>TERRAPLENAGEM</t>
  </si>
  <si>
    <t>RESPONSÁVEL TÉCNICO:</t>
  </si>
  <si>
    <t xml:space="preserve">PROJETO EXECUTIVO DE VIA DE ACESSO </t>
  </si>
  <si>
    <t>ENGª. CIVIL FLÁVIA CRISTINA BARBOSA - CREA MG 187.842/D</t>
  </si>
  <si>
    <t>ESCAVAÇÃO</t>
  </si>
  <si>
    <t>QUANTIDADE UNITÁRIA</t>
  </si>
  <si>
    <t>DISPOSITIVO</t>
  </si>
  <si>
    <t>MODELO</t>
  </si>
  <si>
    <t>QTDE</t>
  </si>
  <si>
    <t>CONCRETO (m³)</t>
  </si>
  <si>
    <t>FORMAS (m²)</t>
  </si>
  <si>
    <t>PEDRA FIXADA COM CONCRETO (m³) (vazios=40%)</t>
  </si>
  <si>
    <t>ESCAVAÇÃO (m³)</t>
  </si>
  <si>
    <t xml:space="preserve">CIMENTO </t>
  </si>
  <si>
    <t>AREIA</t>
  </si>
  <si>
    <t>BRITA 1 E 2</t>
  </si>
  <si>
    <t>ÁGUA</t>
  </si>
  <si>
    <t>MADEIRA</t>
  </si>
  <si>
    <t>AÇO</t>
  </si>
  <si>
    <t>APILOAMENTO</t>
  </si>
  <si>
    <t>Dissipador de Bueiro</t>
  </si>
  <si>
    <t>DEB 04</t>
  </si>
  <si>
    <t>DNIT</t>
  </si>
  <si>
    <t>DEB 05</t>
  </si>
  <si>
    <t>DEB 03</t>
  </si>
  <si>
    <t>Descida D'água</t>
  </si>
  <si>
    <t>DCD 02</t>
  </si>
  <si>
    <t>DCD 04</t>
  </si>
  <si>
    <t>Boca para Bueiro Simples Tubular de Concreto</t>
  </si>
  <si>
    <t xml:space="preserve">Φ 100 α=30º </t>
  </si>
  <si>
    <t xml:space="preserve">Φ 60 α=30º </t>
  </si>
  <si>
    <t xml:space="preserve">Φ 80 α=30º </t>
  </si>
  <si>
    <t xml:space="preserve">Φ 120 α=30º </t>
  </si>
  <si>
    <t>Poço de Visita</t>
  </si>
  <si>
    <t>PV|02</t>
  </si>
  <si>
    <t>PV|05</t>
  </si>
  <si>
    <t>Caixa Coletora de Sarjeta</t>
  </si>
  <si>
    <t>CCSC 08</t>
  </si>
  <si>
    <t>CCSC 07</t>
  </si>
  <si>
    <t>CCSC 01</t>
  </si>
  <si>
    <t>Caixa Talvegue</t>
  </si>
  <si>
    <t>CCT 01</t>
  </si>
  <si>
    <t>CANAL TRAPEZOIDAL</t>
  </si>
  <si>
    <t>CANAL 1</t>
  </si>
  <si>
    <t>TIPO</t>
  </si>
  <si>
    <t>B</t>
  </si>
  <si>
    <t>Z</t>
  </si>
  <si>
    <t>H</t>
  </si>
  <si>
    <t xml:space="preserve">ESCAVAÇÃO </t>
  </si>
  <si>
    <t>PEDRA</t>
  </si>
  <si>
    <t>CANAL 2</t>
  </si>
  <si>
    <t>CANAL 3</t>
  </si>
  <si>
    <t>BACIA DISSIPAÇÃO</t>
  </si>
  <si>
    <t>M³</t>
  </si>
  <si>
    <t>M3</t>
  </si>
  <si>
    <t>CRONOGRAMA FÍSICO-FINANCEIRO DE OBRA - ACESSO À ACG</t>
  </si>
  <si>
    <t>UNIDADE</t>
  </si>
  <si>
    <t>SERVIÇOS</t>
  </si>
  <si>
    <r>
      <t xml:space="preserve">1ª ETAPA   </t>
    </r>
    <r>
      <rPr>
        <b/>
        <sz val="12"/>
        <color theme="1"/>
        <rFont val="Verdana"/>
        <family val="2"/>
      </rPr>
      <t xml:space="preserve">PERÍODO: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</si>
  <si>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r>
      <t xml:space="preserve">2ª ETAPA   </t>
    </r>
    <r>
      <rPr>
        <b/>
        <sz val="12"/>
        <color theme="1"/>
        <rFont val="Verdana"/>
        <family val="2"/>
      </rPr>
      <t xml:space="preserve">PERÍODO: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</si>
  <si>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r>
      <t xml:space="preserve">4ª ETAPA   </t>
    </r>
    <r>
      <rPr>
        <b/>
        <sz val="12"/>
        <color theme="1"/>
        <rFont val="Verdana"/>
        <family val="2"/>
      </rPr>
      <t xml:space="preserve">PERÍODO: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</si>
  <si>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r>
      <t xml:space="preserve">6ª ETAPA   </t>
    </r>
    <r>
      <rPr>
        <b/>
        <sz val="12"/>
        <color theme="1"/>
        <rFont val="Verdana"/>
        <family val="2"/>
      </rPr>
      <t xml:space="preserve">PERÍODO: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</si>
  <si>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t xml:space="preserve">SERVIÇOS PRELIMINARES - LOCAÇÃO DA OBRA, LIMPEZA DE TERRENO E CORTE DE ÁRVORES </t>
  </si>
  <si>
    <t>EXECUÇÃO DE PAVIMENTO</t>
  </si>
  <si>
    <t>LIMPEZA FINAL</t>
  </si>
  <si>
    <r>
      <t xml:space="preserve">3ª ETAPA   PERÍODO:  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</si>
  <si>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t>%</t>
  </si>
  <si>
    <t>R$</t>
  </si>
  <si>
    <r>
      <t xml:space="preserve">5ª ETAPA   PERÍODO:    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</si>
  <si>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t>BDI: 23%</t>
  </si>
</sst>
</file>

<file path=xl/styles.xml><?xml version="1.0" encoding="utf-8"?>
<styleSheet xmlns="http://schemas.openxmlformats.org/spreadsheetml/2006/main">
  <numFmts count="3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  <numFmt numFmtId="166" formatCode="&quot;R$&quot;#,##0.00"/>
  </numFmts>
  <fonts count="9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6"/>
      <color theme="1"/>
      <name val="Verdana"/>
      <family val="2"/>
    </font>
    <font>
      <b/>
      <sz val="18"/>
      <color theme="1"/>
      <name val="Verdana"/>
      <family val="2"/>
    </font>
    <font>
      <sz val="11"/>
      <color theme="1"/>
      <name val="Calibri"/>
      <family val="2"/>
    </font>
    <font>
      <b/>
      <sz val="12"/>
      <color theme="9" tint="-0.249977111117893"/>
      <name val="Verdana"/>
      <family val="2"/>
    </font>
    <font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ck">
        <color theme="9" tint="-0.2499465926084170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quotePrefix="1" applyFont="1" applyAlignment="1">
      <alignment horizontal="center" vertical="center" wrapText="1"/>
    </xf>
    <xf numFmtId="14" fontId="2" fillId="0" borderId="2" xfId="0" applyNumberFormat="1" applyFont="1" applyBorder="1" applyAlignment="1">
      <alignment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6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166" fontId="3" fillId="2" borderId="8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17" fontId="2" fillId="0" borderId="6" xfId="0" applyNumberFormat="1" applyFont="1" applyBorder="1" applyAlignment="1">
      <alignment horizontal="center" vertical="center" wrapText="1"/>
    </xf>
    <xf numFmtId="17" fontId="2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802818</xdr:colOff>
      <xdr:row>2</xdr:row>
      <xdr:rowOff>95250</xdr:rowOff>
    </xdr:from>
    <xdr:to>
      <xdr:col>7</xdr:col>
      <xdr:colOff>53735</xdr:colOff>
      <xdr:row>7</xdr:row>
      <xdr:rowOff>78750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98568" y="653143"/>
          <a:ext cx="2693524" cy="93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248997</xdr:colOff>
      <xdr:row>2</xdr:row>
      <xdr:rowOff>122465</xdr:rowOff>
    </xdr:from>
    <xdr:to>
      <xdr:col>12</xdr:col>
      <xdr:colOff>220594</xdr:colOff>
      <xdr:row>6</xdr:row>
      <xdr:rowOff>80465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49854" y="680358"/>
          <a:ext cx="1359525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13"/>
  <sheetViews>
    <sheetView showGridLines="0" tabSelected="1" showWhiteSpace="0" view="pageBreakPreview" zoomScale="70" zoomScaleNormal="70" zoomScaleSheetLayoutView="70" zoomScalePageLayoutView="55" workbookViewId="0">
      <selection activeCell="B12" sqref="B12:E13"/>
    </sheetView>
  </sheetViews>
  <sheetFormatPr defaultColWidth="0" defaultRowHeight="15" zeroHeight="1"/>
  <cols>
    <col min="1" max="1" width="10.28515625" style="1" customWidth="1"/>
    <col min="2" max="2" width="15.85546875" style="1" customWidth="1"/>
    <col min="3" max="3" width="20.5703125" style="1" customWidth="1"/>
    <col min="4" max="6" width="15.42578125" style="1" customWidth="1"/>
    <col min="7" max="7" width="20.5703125" style="1" customWidth="1"/>
    <col min="8" max="8" width="18.7109375" style="1" customWidth="1"/>
    <col min="9" max="9" width="20.85546875" style="1" customWidth="1"/>
    <col min="10" max="10" width="16.7109375" style="1" customWidth="1"/>
    <col min="11" max="11" width="23.42578125" style="1" bestFit="1" customWidth="1"/>
    <col min="12" max="12" width="20.85546875" style="1" customWidth="1"/>
    <col min="13" max="13" width="25.85546875" style="1" customWidth="1"/>
    <col min="14" max="20" width="14.7109375" style="1" hidden="1" customWidth="1"/>
    <col min="21" max="16384" width="9.140625" style="1" hidden="1"/>
  </cols>
  <sheetData>
    <row r="1" spans="1:14" ht="52.5" customHeight="1">
      <c r="L1" s="5" t="s">
        <v>5</v>
      </c>
      <c r="M1" s="7">
        <v>0</v>
      </c>
    </row>
    <row r="2" spans="1:14" ht="91.5" customHeight="1" thickBot="1">
      <c r="A2" s="33" t="s">
        <v>70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6"/>
    </row>
    <row r="3" spans="1:14" ht="15" customHeight="1" thickTop="1">
      <c r="A3" s="35" t="s">
        <v>4</v>
      </c>
      <c r="B3" s="35"/>
      <c r="C3" s="35"/>
      <c r="E3" s="35" t="s">
        <v>3</v>
      </c>
      <c r="F3" s="35"/>
      <c r="G3" s="35"/>
      <c r="H3" s="10"/>
      <c r="I3" s="10"/>
      <c r="K3" s="35" t="s">
        <v>2</v>
      </c>
      <c r="L3" s="35"/>
      <c r="M3" s="35"/>
    </row>
    <row r="4" spans="1:14">
      <c r="A4" s="36" t="s">
        <v>8</v>
      </c>
      <c r="B4" s="36"/>
      <c r="C4" s="36"/>
      <c r="E4" s="37"/>
      <c r="F4" s="37"/>
      <c r="G4" s="37"/>
      <c r="H4" s="11"/>
      <c r="I4" s="11"/>
      <c r="K4" s="37"/>
      <c r="L4" s="37"/>
      <c r="M4" s="37"/>
    </row>
    <row r="5" spans="1:14">
      <c r="A5" s="36"/>
      <c r="B5" s="36"/>
      <c r="C5" s="36"/>
      <c r="E5" s="37"/>
      <c r="F5" s="37"/>
      <c r="G5" s="37"/>
      <c r="H5" s="11"/>
      <c r="I5" s="11"/>
      <c r="K5" s="37"/>
      <c r="L5" s="37"/>
      <c r="M5" s="37"/>
    </row>
    <row r="6" spans="1:14">
      <c r="A6" s="36"/>
      <c r="B6" s="36"/>
      <c r="C6" s="36"/>
      <c r="E6" s="37"/>
      <c r="F6" s="37"/>
      <c r="G6" s="37"/>
      <c r="H6" s="11"/>
      <c r="I6" s="11"/>
      <c r="K6" s="37"/>
      <c r="L6" s="37"/>
      <c r="M6" s="37"/>
    </row>
    <row r="7" spans="1:14">
      <c r="A7" s="3"/>
      <c r="B7" s="3"/>
      <c r="C7" s="3"/>
      <c r="E7" s="3"/>
      <c r="F7" s="3"/>
      <c r="G7" s="3"/>
      <c r="H7" s="11"/>
      <c r="I7" s="11"/>
      <c r="K7" s="16"/>
      <c r="L7" s="16"/>
      <c r="M7" s="16"/>
    </row>
    <row r="8" spans="1:14" ht="15" customHeight="1">
      <c r="A8" s="34" t="s">
        <v>6</v>
      </c>
      <c r="B8" s="34"/>
      <c r="C8" s="9">
        <v>43157</v>
      </c>
      <c r="D8" s="8"/>
      <c r="E8" s="3"/>
      <c r="K8" s="38" t="s">
        <v>84</v>
      </c>
      <c r="L8" s="39"/>
      <c r="M8" s="39"/>
    </row>
    <row r="9" spans="1:14" ht="15" customHeight="1">
      <c r="A9" s="4"/>
      <c r="B9" s="4"/>
      <c r="C9" s="3"/>
      <c r="E9" s="3"/>
      <c r="F9" s="3"/>
      <c r="G9" s="3"/>
      <c r="H9" s="11"/>
      <c r="I9" s="11"/>
      <c r="K9" s="40"/>
      <c r="L9" s="41"/>
      <c r="M9" s="41"/>
    </row>
    <row r="10" spans="1:14" ht="36.75" customHeight="1">
      <c r="A10" s="43" t="s">
        <v>17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1:14" ht="55.5" customHeight="1">
      <c r="A11" s="44" t="s">
        <v>1</v>
      </c>
      <c r="B11" s="45" t="s">
        <v>72</v>
      </c>
      <c r="C11" s="45"/>
      <c r="D11" s="45"/>
      <c r="E11" s="45"/>
      <c r="F11" s="44" t="s">
        <v>71</v>
      </c>
      <c r="G11" s="44" t="s">
        <v>73</v>
      </c>
      <c r="H11" s="44" t="s">
        <v>74</v>
      </c>
      <c r="I11" s="44" t="s">
        <v>80</v>
      </c>
      <c r="J11" s="44" t="s">
        <v>75</v>
      </c>
      <c r="K11" s="44" t="s">
        <v>83</v>
      </c>
      <c r="L11" s="44" t="s">
        <v>76</v>
      </c>
      <c r="M11" s="44" t="s">
        <v>0</v>
      </c>
    </row>
    <row r="12" spans="1:14" ht="26.25" customHeight="1">
      <c r="A12" s="46">
        <v>1</v>
      </c>
      <c r="B12" s="47" t="s">
        <v>77</v>
      </c>
      <c r="C12" s="47"/>
      <c r="D12" s="47"/>
      <c r="E12" s="47"/>
      <c r="F12" s="48" t="s">
        <v>81</v>
      </c>
      <c r="G12" s="49">
        <v>100</v>
      </c>
      <c r="H12" s="50"/>
      <c r="I12" s="50"/>
      <c r="J12" s="50"/>
      <c r="K12" s="50"/>
      <c r="L12" s="50"/>
      <c r="M12" s="49">
        <f>SUM(G13:L13)/M27*100</f>
        <v>2.838405727683095</v>
      </c>
    </row>
    <row r="13" spans="1:14" ht="26.25" customHeight="1">
      <c r="A13" s="46"/>
      <c r="B13" s="47"/>
      <c r="C13" s="47"/>
      <c r="D13" s="47"/>
      <c r="E13" s="47"/>
      <c r="F13" s="48" t="s">
        <v>82</v>
      </c>
      <c r="G13" s="51">
        <f>(42242.25+453.54)*1.23</f>
        <v>52515.8217</v>
      </c>
      <c r="H13" s="50"/>
      <c r="I13" s="50"/>
      <c r="J13" s="50"/>
      <c r="K13" s="50"/>
      <c r="L13" s="50"/>
      <c r="M13" s="51">
        <f>SUM(G13:L13)</f>
        <v>52515.8217</v>
      </c>
    </row>
    <row r="14" spans="1:14" ht="26.25" customHeight="1">
      <c r="A14" s="46">
        <v>2</v>
      </c>
      <c r="B14" s="47" t="s">
        <v>15</v>
      </c>
      <c r="C14" s="47"/>
      <c r="D14" s="47"/>
      <c r="E14" s="47"/>
      <c r="F14" s="48" t="s">
        <v>81</v>
      </c>
      <c r="G14" s="50"/>
      <c r="H14" s="49">
        <v>100</v>
      </c>
      <c r="I14" s="50"/>
      <c r="J14" s="50"/>
      <c r="K14" s="50"/>
      <c r="L14" s="50"/>
      <c r="M14" s="49">
        <f>SUM(G15:L15)/$M$27*100</f>
        <v>2.3692095550290508</v>
      </c>
    </row>
    <row r="15" spans="1:14" ht="26.25" customHeight="1">
      <c r="A15" s="46"/>
      <c r="B15" s="47"/>
      <c r="C15" s="47"/>
      <c r="D15" s="47"/>
      <c r="E15" s="47"/>
      <c r="F15" s="48" t="s">
        <v>82</v>
      </c>
      <c r="G15" s="50"/>
      <c r="H15" s="51">
        <f>35638.06*1.23</f>
        <v>43834.813799999996</v>
      </c>
      <c r="I15" s="50"/>
      <c r="J15" s="50"/>
      <c r="K15" s="50"/>
      <c r="L15" s="50"/>
      <c r="M15" s="51">
        <f>SUM(G15:L15)</f>
        <v>43834.813799999996</v>
      </c>
    </row>
    <row r="16" spans="1:14" ht="26.25" customHeight="1">
      <c r="A16" s="46">
        <v>3</v>
      </c>
      <c r="B16" s="47" t="s">
        <v>78</v>
      </c>
      <c r="C16" s="47"/>
      <c r="D16" s="47"/>
      <c r="E16" s="47"/>
      <c r="F16" s="48" t="s">
        <v>81</v>
      </c>
      <c r="G16" s="50"/>
      <c r="H16" s="49">
        <v>25</v>
      </c>
      <c r="I16" s="49">
        <v>75</v>
      </c>
      <c r="J16" s="50"/>
      <c r="K16" s="50"/>
      <c r="L16" s="50"/>
      <c r="M16" s="49">
        <f>SUM(G17:L17)/$M$27*100</f>
        <v>67.725273469464824</v>
      </c>
    </row>
    <row r="17" spans="1:13" ht="26.25" customHeight="1">
      <c r="A17" s="46"/>
      <c r="B17" s="47"/>
      <c r="C17" s="47"/>
      <c r="D17" s="47"/>
      <c r="E17" s="47"/>
      <c r="F17" s="48" t="s">
        <v>82</v>
      </c>
      <c r="G17" s="50"/>
      <c r="H17" s="51">
        <f>1018735.28*0.25*1.23</f>
        <v>313261.09860000003</v>
      </c>
      <c r="I17" s="51">
        <f>1018735.28*0.75*1.23</f>
        <v>939783.29579999996</v>
      </c>
      <c r="J17" s="50"/>
      <c r="K17" s="50"/>
      <c r="L17" s="50"/>
      <c r="M17" s="51">
        <f>SUM(G17:L17)</f>
        <v>1253044.3944000001</v>
      </c>
    </row>
    <row r="18" spans="1:13" ht="26.25" customHeight="1">
      <c r="A18" s="46">
        <v>4</v>
      </c>
      <c r="B18" s="47" t="s">
        <v>14</v>
      </c>
      <c r="C18" s="47"/>
      <c r="D18" s="47"/>
      <c r="E18" s="47"/>
      <c r="F18" s="48" t="s">
        <v>81</v>
      </c>
      <c r="G18" s="50"/>
      <c r="H18" s="50"/>
      <c r="I18" s="49">
        <v>25</v>
      </c>
      <c r="J18" s="49">
        <v>75</v>
      </c>
      <c r="K18" s="50"/>
      <c r="L18" s="50"/>
      <c r="M18" s="49">
        <f>SUM(G19:L19)/$M$27*100</f>
        <v>20.849650512595488</v>
      </c>
    </row>
    <row r="19" spans="1:13" ht="26.25" customHeight="1">
      <c r="A19" s="46"/>
      <c r="B19" s="47"/>
      <c r="C19" s="47"/>
      <c r="D19" s="47"/>
      <c r="E19" s="47"/>
      <c r="F19" s="48" t="s">
        <v>82</v>
      </c>
      <c r="G19" s="50"/>
      <c r="H19" s="50"/>
      <c r="I19" s="51">
        <f>313624.05*0.25*1.23</f>
        <v>96439.395374999993</v>
      </c>
      <c r="J19" s="51">
        <f>313624.05*0.75*1.23</f>
        <v>289318.18612499995</v>
      </c>
      <c r="K19" s="50"/>
      <c r="L19" s="50"/>
      <c r="M19" s="51">
        <f>SUM(G19:L19)</f>
        <v>385757.58149999997</v>
      </c>
    </row>
    <row r="20" spans="1:13" ht="26.25" customHeight="1">
      <c r="A20" s="46">
        <v>5</v>
      </c>
      <c r="B20" s="47" t="s">
        <v>9</v>
      </c>
      <c r="C20" s="47"/>
      <c r="D20" s="47"/>
      <c r="E20" s="47"/>
      <c r="F20" s="48" t="s">
        <v>81</v>
      </c>
      <c r="G20" s="50"/>
      <c r="H20" s="50"/>
      <c r="I20" s="50"/>
      <c r="J20" s="50"/>
      <c r="K20" s="49">
        <v>100</v>
      </c>
      <c r="L20" s="50"/>
      <c r="M20" s="49">
        <f>SUM(G21:L21)/$M$27*100</f>
        <v>1.1764736384829506</v>
      </c>
    </row>
    <row r="21" spans="1:13" ht="26.25" customHeight="1">
      <c r="A21" s="46"/>
      <c r="B21" s="47"/>
      <c r="C21" s="47"/>
      <c r="D21" s="47"/>
      <c r="E21" s="47"/>
      <c r="F21" s="48" t="s">
        <v>82</v>
      </c>
      <c r="G21" s="50"/>
      <c r="H21" s="50"/>
      <c r="I21" s="50"/>
      <c r="J21" s="50"/>
      <c r="K21" s="51">
        <f>17696.72*1.23</f>
        <v>21766.9656</v>
      </c>
      <c r="L21" s="50"/>
      <c r="M21" s="51">
        <f>SUM(G21:L21)</f>
        <v>21766.9656</v>
      </c>
    </row>
    <row r="22" spans="1:13" ht="26.25" customHeight="1">
      <c r="A22" s="46">
        <v>6</v>
      </c>
      <c r="B22" s="47" t="s">
        <v>7</v>
      </c>
      <c r="C22" s="47"/>
      <c r="D22" s="47"/>
      <c r="E22" s="47"/>
      <c r="F22" s="48" t="s">
        <v>81</v>
      </c>
      <c r="G22" s="50"/>
      <c r="H22" s="50"/>
      <c r="I22" s="50"/>
      <c r="J22" s="50"/>
      <c r="K22" s="49">
        <v>50</v>
      </c>
      <c r="L22" s="49">
        <v>50</v>
      </c>
      <c r="M22" s="49">
        <f>SUM(G23:L23)/$M$27*100</f>
        <v>4.5368883870701389</v>
      </c>
    </row>
    <row r="23" spans="1:13" ht="26.25" customHeight="1">
      <c r="A23" s="46"/>
      <c r="B23" s="47"/>
      <c r="C23" s="47"/>
      <c r="D23" s="47"/>
      <c r="E23" s="47"/>
      <c r="F23" s="48" t="s">
        <v>82</v>
      </c>
      <c r="G23" s="50"/>
      <c r="H23" s="50"/>
      <c r="I23" s="50"/>
      <c r="J23" s="50"/>
      <c r="K23" s="51">
        <f>75827.4*0.5*1.23</f>
        <v>46633.850999999995</v>
      </c>
      <c r="L23" s="51">
        <f>75827.4*0.4*1.23</f>
        <v>37307.080799999996</v>
      </c>
      <c r="M23" s="51">
        <f>SUM(G23:L23)</f>
        <v>83940.931799999991</v>
      </c>
    </row>
    <row r="24" spans="1:13" ht="26.25" customHeight="1">
      <c r="A24" s="46">
        <v>7</v>
      </c>
      <c r="B24" s="47" t="s">
        <v>79</v>
      </c>
      <c r="C24" s="47"/>
      <c r="D24" s="47"/>
      <c r="E24" s="47"/>
      <c r="F24" s="48" t="s">
        <v>81</v>
      </c>
      <c r="G24" s="50"/>
      <c r="H24" s="50"/>
      <c r="I24" s="50"/>
      <c r="J24" s="50"/>
      <c r="K24" s="50"/>
      <c r="L24" s="49">
        <v>100</v>
      </c>
      <c r="M24" s="49">
        <f>SUM(G25:L25)/$M$27*100</f>
        <v>0.50409870967445991</v>
      </c>
    </row>
    <row r="25" spans="1:13" ht="26.25" customHeight="1">
      <c r="A25" s="46"/>
      <c r="B25" s="47"/>
      <c r="C25" s="47"/>
      <c r="D25" s="47"/>
      <c r="E25" s="47"/>
      <c r="F25" s="48" t="s">
        <v>82</v>
      </c>
      <c r="G25" s="50"/>
      <c r="H25" s="50"/>
      <c r="I25" s="50"/>
      <c r="J25" s="50"/>
      <c r="K25" s="50"/>
      <c r="L25" s="51">
        <f>75827.4*0.1*1.23</f>
        <v>9326.770199999999</v>
      </c>
      <c r="M25" s="51">
        <f>SUM(G25:L25)</f>
        <v>9326.770199999999</v>
      </c>
    </row>
    <row r="26" spans="1:13" ht="26.2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29" t="s">
        <v>0</v>
      </c>
      <c r="M26" s="28">
        <v>100</v>
      </c>
    </row>
    <row r="27" spans="1:13" ht="26.2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29"/>
      <c r="M27" s="27">
        <f>G13+H15+H17+I17+I19+J19+K21+K23+L23+L25</f>
        <v>1850187.2789999999</v>
      </c>
    </row>
    <row r="28" spans="1:13" ht="19.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ht="19.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ht="20.100000000000001" customHeight="1">
      <c r="A30" s="2"/>
      <c r="B30" s="14"/>
      <c r="C30" s="14"/>
      <c r="D30" s="14"/>
      <c r="E30" s="31"/>
      <c r="F30" s="31"/>
      <c r="G30" s="31"/>
      <c r="H30" s="31"/>
      <c r="I30" s="14"/>
      <c r="J30" s="2"/>
      <c r="K30" s="2"/>
      <c r="L30" s="2"/>
      <c r="M30" s="13"/>
    </row>
    <row r="31" spans="1:13" ht="78" customHeight="1">
      <c r="A31" s="17"/>
      <c r="B31" s="30" t="s">
        <v>16</v>
      </c>
      <c r="C31" s="30"/>
      <c r="D31" s="30"/>
      <c r="E31" s="32" t="s">
        <v>18</v>
      </c>
      <c r="F31" s="32"/>
      <c r="G31" s="32"/>
      <c r="H31" s="32"/>
      <c r="I31" s="32"/>
      <c r="J31" s="17"/>
      <c r="K31" s="17"/>
      <c r="L31" s="17"/>
      <c r="M31" s="13"/>
    </row>
    <row r="32" spans="1:13" ht="39.75" customHeight="1">
      <c r="A32" s="17"/>
      <c r="B32" s="18"/>
      <c r="C32" s="18"/>
      <c r="D32" s="18"/>
      <c r="E32" s="18"/>
      <c r="F32" s="18"/>
      <c r="G32" s="18"/>
      <c r="H32" s="18"/>
      <c r="I32" s="18"/>
      <c r="J32" s="17"/>
      <c r="K32" s="17"/>
      <c r="L32" s="17"/>
      <c r="M32" s="13"/>
    </row>
    <row r="33" spans="12:12" ht="20.100000000000001" customHeight="1"/>
    <row r="34" spans="12:12" ht="20.100000000000001" customHeight="1"/>
    <row r="35" spans="12:12" ht="20.100000000000001" customHeight="1"/>
    <row r="36" spans="12:12" ht="20.100000000000001" customHeight="1"/>
    <row r="37" spans="12:12" ht="20.100000000000001" customHeight="1"/>
    <row r="38" spans="12:12" ht="20.100000000000001" customHeight="1">
      <c r="L38" s="15"/>
    </row>
    <row r="39" spans="12:12" ht="20.100000000000001" customHeight="1"/>
    <row r="40" spans="12:12" ht="20.100000000000001" customHeight="1"/>
    <row r="41" spans="12:12" ht="20.100000000000001" customHeight="1"/>
    <row r="42" spans="12:12" ht="20.100000000000001" customHeight="1"/>
    <row r="43" spans="12:12" ht="20.100000000000001" customHeight="1"/>
    <row r="44" spans="12:12" ht="20.100000000000001" customHeight="1"/>
    <row r="45" spans="12:12" ht="20.100000000000001" customHeight="1"/>
    <row r="46" spans="12:12" ht="20.100000000000001" customHeight="1"/>
    <row r="47" spans="12:12" ht="20.100000000000001" customHeight="1"/>
    <row r="48" spans="12:12" ht="20.100000000000001" customHeight="1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 hidden="1"/>
    <row r="415" hidden="1"/>
    <row r="416" hidden="1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</sheetData>
  <mergeCells count="29">
    <mergeCell ref="A2:M2"/>
    <mergeCell ref="A10:M10"/>
    <mergeCell ref="A8:B8"/>
    <mergeCell ref="A3:C3"/>
    <mergeCell ref="E3:G3"/>
    <mergeCell ref="K3:M3"/>
    <mergeCell ref="A4:C6"/>
    <mergeCell ref="E4:G6"/>
    <mergeCell ref="K4:M6"/>
    <mergeCell ref="K8:M9"/>
    <mergeCell ref="B31:D31"/>
    <mergeCell ref="E30:H30"/>
    <mergeCell ref="E31:I31"/>
    <mergeCell ref="B14:E15"/>
    <mergeCell ref="B16:E17"/>
    <mergeCell ref="B18:E19"/>
    <mergeCell ref="B20:E21"/>
    <mergeCell ref="B11:E11"/>
    <mergeCell ref="A12:A13"/>
    <mergeCell ref="B12:E13"/>
    <mergeCell ref="L26:L27"/>
    <mergeCell ref="B22:E23"/>
    <mergeCell ref="B24:E25"/>
    <mergeCell ref="A14:A15"/>
    <mergeCell ref="A16:A17"/>
    <mergeCell ref="A18:A19"/>
    <mergeCell ref="A20:A21"/>
    <mergeCell ref="A22:A23"/>
    <mergeCell ref="A24:A25"/>
  </mergeCells>
  <printOptions horizontalCentered="1"/>
  <pageMargins left="0.98425196850393704" right="0.98425196850393704" top="0.39370078740157483" bottom="0.39370078740157483" header="0.31496062992125984" footer="0"/>
  <pageSetup paperSize="9" scale="52" fitToHeight="0" orientation="landscape" r:id="rId1"/>
  <ignoredErrors>
    <ignoredError sqref="M14:M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R34"/>
  <sheetViews>
    <sheetView topLeftCell="E14" workbookViewId="0">
      <selection activeCell="H35" sqref="H35"/>
    </sheetView>
  </sheetViews>
  <sheetFormatPr defaultRowHeight="15"/>
  <cols>
    <col min="1" max="1" width="10.28515625" bestFit="1" customWidth="1"/>
    <col min="2" max="2" width="19.140625" bestFit="1" customWidth="1"/>
    <col min="8" max="8" width="22.28515625" bestFit="1" customWidth="1"/>
    <col min="9" max="9" width="8.5703125" bestFit="1" customWidth="1"/>
  </cols>
  <sheetData>
    <row r="2" spans="1:18">
      <c r="D2" s="19"/>
      <c r="E2" s="21"/>
      <c r="F2" s="21"/>
      <c r="G2" s="19"/>
      <c r="H2" s="22" t="s">
        <v>20</v>
      </c>
      <c r="I2" s="22"/>
      <c r="J2" s="22"/>
      <c r="K2" s="22"/>
      <c r="L2" s="19"/>
      <c r="M2" s="19"/>
      <c r="N2" s="19"/>
      <c r="O2" s="19"/>
      <c r="P2" s="19"/>
      <c r="Q2" s="19"/>
      <c r="R2" s="19"/>
    </row>
    <row r="3" spans="1:18" ht="105">
      <c r="D3" s="23" t="s">
        <v>21</v>
      </c>
      <c r="E3" s="24" t="s">
        <v>22</v>
      </c>
      <c r="F3" s="24"/>
      <c r="G3" s="23" t="s">
        <v>23</v>
      </c>
      <c r="H3" s="23" t="s">
        <v>24</v>
      </c>
      <c r="I3" s="23" t="s">
        <v>25</v>
      </c>
      <c r="J3" s="23" t="s">
        <v>26</v>
      </c>
      <c r="K3" s="23" t="s">
        <v>27</v>
      </c>
      <c r="L3" s="23" t="s">
        <v>28</v>
      </c>
      <c r="M3" s="23" t="s">
        <v>29</v>
      </c>
      <c r="N3" s="23" t="s">
        <v>30</v>
      </c>
      <c r="O3" s="23" t="s">
        <v>31</v>
      </c>
      <c r="P3" s="23" t="s">
        <v>32</v>
      </c>
      <c r="Q3" s="23" t="s">
        <v>33</v>
      </c>
      <c r="R3" s="23" t="s">
        <v>34</v>
      </c>
    </row>
    <row r="4" spans="1:18">
      <c r="D4" s="19" t="s">
        <v>35</v>
      </c>
      <c r="E4" s="21" t="s">
        <v>36</v>
      </c>
      <c r="F4" s="21" t="s">
        <v>37</v>
      </c>
      <c r="G4" s="19">
        <v>1</v>
      </c>
      <c r="H4" s="19">
        <v>1.83</v>
      </c>
      <c r="I4" s="19">
        <v>9.65</v>
      </c>
      <c r="J4" s="19">
        <v>1.41</v>
      </c>
      <c r="K4" s="19">
        <v>6.18</v>
      </c>
      <c r="L4" s="19"/>
      <c r="M4" s="19"/>
      <c r="N4" s="19"/>
      <c r="O4" s="19"/>
      <c r="P4" s="19"/>
      <c r="Q4" s="19"/>
      <c r="R4" s="19"/>
    </row>
    <row r="5" spans="1:18">
      <c r="D5" s="19" t="s">
        <v>35</v>
      </c>
      <c r="E5" s="21" t="s">
        <v>38</v>
      </c>
      <c r="F5" s="21" t="s">
        <v>37</v>
      </c>
      <c r="G5" s="19">
        <v>1</v>
      </c>
      <c r="H5" s="19">
        <v>2.59</v>
      </c>
      <c r="I5" s="19">
        <v>11.63</v>
      </c>
      <c r="J5" s="19">
        <v>2.0699999999999998</v>
      </c>
      <c r="K5" s="19">
        <v>8.81</v>
      </c>
      <c r="L5" s="19"/>
      <c r="M5" s="19"/>
      <c r="N5" s="19"/>
      <c r="O5" s="19"/>
      <c r="P5" s="19"/>
      <c r="Q5" s="19"/>
      <c r="R5" s="19"/>
    </row>
    <row r="6" spans="1:18">
      <c r="D6" s="19" t="s">
        <v>35</v>
      </c>
      <c r="E6" s="21" t="s">
        <v>39</v>
      </c>
      <c r="F6" s="21" t="s">
        <v>37</v>
      </c>
      <c r="G6" s="19">
        <v>2</v>
      </c>
      <c r="H6" s="19">
        <f>1.2*G6</f>
        <v>2.4</v>
      </c>
      <c r="I6" s="19">
        <f>7.67*G6</f>
        <v>15.34</v>
      </c>
      <c r="J6" s="19">
        <f>0.87*G6</f>
        <v>1.74</v>
      </c>
      <c r="K6" s="19">
        <f>4.03*G6</f>
        <v>8.06</v>
      </c>
      <c r="L6" s="19"/>
      <c r="M6" s="19"/>
      <c r="N6" s="19"/>
      <c r="O6" s="19"/>
      <c r="P6" s="19"/>
      <c r="Q6" s="19"/>
      <c r="R6" s="19"/>
    </row>
    <row r="7" spans="1:18">
      <c r="A7" s="19"/>
      <c r="B7" s="19" t="s">
        <v>10</v>
      </c>
      <c r="C7" s="20" t="s">
        <v>11</v>
      </c>
      <c r="D7" s="19" t="s">
        <v>40</v>
      </c>
      <c r="E7" s="21" t="s">
        <v>41</v>
      </c>
      <c r="F7" s="21" t="s">
        <v>37</v>
      </c>
      <c r="G7" s="19">
        <v>1</v>
      </c>
      <c r="H7" s="19">
        <f>0.35*2.8</f>
        <v>0.97999999999999987</v>
      </c>
      <c r="I7" s="19">
        <f>2.83*2.8</f>
        <v>7.9239999999999995</v>
      </c>
      <c r="J7" s="19"/>
      <c r="K7" s="19">
        <f>1.24*2.8</f>
        <v>3.472</v>
      </c>
      <c r="L7" s="19"/>
      <c r="M7" s="19"/>
      <c r="N7" s="19"/>
      <c r="O7" s="19"/>
      <c r="P7" s="19"/>
      <c r="Q7" s="19">
        <f>10.57*2.8</f>
        <v>29.596</v>
      </c>
      <c r="R7" s="19"/>
    </row>
    <row r="8" spans="1:18">
      <c r="A8" s="19" t="s">
        <v>12</v>
      </c>
      <c r="B8" s="19">
        <f>(15*20)+17.42</f>
        <v>317.42</v>
      </c>
      <c r="C8" s="20">
        <f>(46*20)+0.1</f>
        <v>920.1</v>
      </c>
      <c r="D8" s="19" t="s">
        <v>40</v>
      </c>
      <c r="E8" s="21" t="s">
        <v>42</v>
      </c>
      <c r="F8" s="21" t="s">
        <v>37</v>
      </c>
      <c r="G8" s="19">
        <v>1</v>
      </c>
      <c r="H8" s="19">
        <f>0.42*2.4</f>
        <v>1.008</v>
      </c>
      <c r="I8" s="19">
        <f>3.03*2.4</f>
        <v>7.2719999999999994</v>
      </c>
      <c r="J8" s="19"/>
      <c r="K8" s="19">
        <f>1.28*2.4</f>
        <v>3.0720000000000001</v>
      </c>
      <c r="L8" s="19"/>
      <c r="M8" s="19"/>
      <c r="N8" s="19"/>
      <c r="O8" s="19"/>
      <c r="P8" s="19"/>
      <c r="Q8" s="19">
        <v>11.14</v>
      </c>
      <c r="R8" s="19"/>
    </row>
    <row r="9" spans="1:18">
      <c r="A9" s="19" t="s">
        <v>13</v>
      </c>
      <c r="B9" s="19">
        <v>23</v>
      </c>
      <c r="C9" s="20">
        <v>14</v>
      </c>
      <c r="D9" s="19" t="s">
        <v>43</v>
      </c>
      <c r="E9" s="25" t="s">
        <v>44</v>
      </c>
      <c r="F9" s="21" t="s">
        <v>37</v>
      </c>
      <c r="G9" s="19">
        <v>2</v>
      </c>
      <c r="H9" s="19">
        <f>4.205*2</f>
        <v>8.41</v>
      </c>
      <c r="I9" s="19">
        <f>18.19*G9</f>
        <v>36.380000000000003</v>
      </c>
      <c r="J9" s="19"/>
      <c r="K9" s="19"/>
      <c r="L9" s="19">
        <f>20.602*G9</f>
        <v>41.204000000000001</v>
      </c>
      <c r="M9" s="19">
        <f>2.86*G9</f>
        <v>5.72</v>
      </c>
      <c r="N9" s="19">
        <f>3.111*G9</f>
        <v>6.2220000000000004</v>
      </c>
      <c r="O9" s="19">
        <f>0.673*G9</f>
        <v>1.3460000000000001</v>
      </c>
      <c r="P9" s="19">
        <f>0.455*G9</f>
        <v>0.91</v>
      </c>
      <c r="Q9" s="19"/>
      <c r="R9" s="19"/>
    </row>
    <row r="10" spans="1:18">
      <c r="A10" s="19"/>
      <c r="B10" s="19"/>
      <c r="C10" s="20"/>
      <c r="D10" s="19" t="s">
        <v>43</v>
      </c>
      <c r="E10" s="25" t="s">
        <v>45</v>
      </c>
      <c r="F10" s="21" t="s">
        <v>37</v>
      </c>
      <c r="G10" s="26">
        <v>2</v>
      </c>
      <c r="H10" s="19">
        <f>1.38*G10</f>
        <v>2.76</v>
      </c>
      <c r="I10" s="19">
        <f>8.71*G10</f>
        <v>17.420000000000002</v>
      </c>
      <c r="J10" s="19"/>
      <c r="K10" s="19"/>
      <c r="L10" s="19">
        <f>6.761*G10</f>
        <v>13.522</v>
      </c>
      <c r="M10" s="19">
        <f>0.939*G10</f>
        <v>1.8779999999999999</v>
      </c>
      <c r="N10" s="19">
        <f>1.021*G10</f>
        <v>2.0419999999999998</v>
      </c>
      <c r="O10" s="19">
        <f>0.276*G10</f>
        <v>0.55200000000000005</v>
      </c>
      <c r="P10" s="19">
        <f>0.267*G10</f>
        <v>0.53400000000000003</v>
      </c>
      <c r="Q10" s="19"/>
      <c r="R10" s="19"/>
    </row>
    <row r="11" spans="1:18">
      <c r="A11" s="19"/>
      <c r="B11" s="19"/>
      <c r="C11" s="20"/>
      <c r="D11" s="19" t="s">
        <v>43</v>
      </c>
      <c r="E11" s="25" t="s">
        <v>46</v>
      </c>
      <c r="F11" s="21" t="s">
        <v>37</v>
      </c>
      <c r="G11" s="26">
        <v>1</v>
      </c>
      <c r="H11" s="19">
        <v>2.5390000000000001</v>
      </c>
      <c r="I11" s="19">
        <v>13.03</v>
      </c>
      <c r="J11" s="19"/>
      <c r="K11" s="19"/>
      <c r="L11" s="19">
        <v>12.3439</v>
      </c>
      <c r="M11" s="19">
        <v>1.7270000000000001</v>
      </c>
      <c r="N11" s="19">
        <v>1.879</v>
      </c>
      <c r="O11" s="19">
        <v>0.40600000000000003</v>
      </c>
      <c r="P11" s="19">
        <v>0.32600000000000001</v>
      </c>
      <c r="Q11" s="19"/>
      <c r="R11" s="19"/>
    </row>
    <row r="12" spans="1:18">
      <c r="A12" s="19"/>
      <c r="B12" s="19">
        <f>B8+C8</f>
        <v>1237.52</v>
      </c>
      <c r="C12" s="20"/>
      <c r="D12" s="19" t="s">
        <v>43</v>
      </c>
      <c r="E12" s="25" t="s">
        <v>47</v>
      </c>
      <c r="F12" s="21" t="s">
        <v>37</v>
      </c>
      <c r="G12" s="26">
        <v>1</v>
      </c>
      <c r="H12" s="19">
        <v>6.5359999999999996</v>
      </c>
      <c r="I12" s="19">
        <v>24</v>
      </c>
      <c r="J12" s="19"/>
      <c r="K12" s="19"/>
      <c r="L12" s="19">
        <v>32.021999999999998</v>
      </c>
      <c r="M12" s="19">
        <v>4.4459999999999997</v>
      </c>
      <c r="N12" s="19">
        <v>4.8360000000000003</v>
      </c>
      <c r="O12" s="19">
        <v>1.046</v>
      </c>
      <c r="P12" s="19">
        <v>0.6</v>
      </c>
      <c r="Q12" s="19"/>
      <c r="R12" s="19"/>
    </row>
    <row r="13" spans="1:18">
      <c r="A13" s="19"/>
      <c r="B13" s="19">
        <f>B12*4</f>
        <v>4950.08</v>
      </c>
      <c r="C13" s="20"/>
      <c r="D13" s="19" t="s">
        <v>48</v>
      </c>
      <c r="E13" s="21" t="s">
        <v>49</v>
      </c>
      <c r="F13" s="21" t="s">
        <v>37</v>
      </c>
      <c r="G13" s="26">
        <v>1</v>
      </c>
      <c r="H13" s="19">
        <v>1.67</v>
      </c>
      <c r="I13" s="19">
        <v>15.05</v>
      </c>
      <c r="J13" s="19"/>
      <c r="K13" s="19"/>
      <c r="L13" s="19"/>
      <c r="M13" s="19"/>
      <c r="N13" s="19"/>
      <c r="O13" s="19"/>
      <c r="P13" s="19"/>
      <c r="Q13" s="19">
        <v>17</v>
      </c>
      <c r="R13" s="19"/>
    </row>
    <row r="14" spans="1:18">
      <c r="D14" s="19" t="s">
        <v>48</v>
      </c>
      <c r="E14" s="21" t="s">
        <v>50</v>
      </c>
      <c r="F14" s="21" t="s">
        <v>37</v>
      </c>
      <c r="G14" s="26">
        <v>1</v>
      </c>
      <c r="H14" s="19">
        <v>2.89</v>
      </c>
      <c r="I14" s="19">
        <v>23.62</v>
      </c>
      <c r="J14" s="19"/>
      <c r="K14" s="19"/>
      <c r="L14" s="19"/>
      <c r="M14" s="19"/>
      <c r="N14" s="19"/>
      <c r="O14" s="19"/>
      <c r="P14" s="19"/>
      <c r="Q14" s="19">
        <v>25.7</v>
      </c>
      <c r="R14" s="19"/>
    </row>
    <row r="15" spans="1:18">
      <c r="D15" s="19" t="s">
        <v>51</v>
      </c>
      <c r="E15" s="21" t="s">
        <v>52</v>
      </c>
      <c r="F15" s="21" t="s">
        <v>37</v>
      </c>
      <c r="G15" s="26">
        <v>1</v>
      </c>
      <c r="H15" s="19">
        <v>2.4500000000000002</v>
      </c>
      <c r="I15" s="19">
        <v>25.6</v>
      </c>
      <c r="J15" s="19"/>
      <c r="K15" s="19">
        <v>19</v>
      </c>
      <c r="L15" s="19"/>
      <c r="M15" s="19"/>
      <c r="N15" s="19"/>
      <c r="O15" s="19"/>
      <c r="P15" s="19"/>
      <c r="Q15" s="19"/>
      <c r="R15" s="19">
        <v>6</v>
      </c>
    </row>
    <row r="16" spans="1:18">
      <c r="D16" s="19" t="s">
        <v>51</v>
      </c>
      <c r="E16" s="21" t="s">
        <v>53</v>
      </c>
      <c r="F16" s="21" t="s">
        <v>37</v>
      </c>
      <c r="G16" s="26">
        <v>1</v>
      </c>
      <c r="H16" s="19">
        <v>2.5499999999999998</v>
      </c>
      <c r="I16" s="19">
        <v>25.6</v>
      </c>
      <c r="J16" s="19"/>
      <c r="K16" s="19">
        <v>19</v>
      </c>
      <c r="L16" s="19"/>
      <c r="M16" s="19"/>
      <c r="N16" s="19"/>
      <c r="O16" s="19"/>
      <c r="P16" s="19"/>
      <c r="Q16" s="19"/>
      <c r="R16" s="19">
        <v>6</v>
      </c>
    </row>
    <row r="17" spans="4:18">
      <c r="D17" s="19" t="s">
        <v>51</v>
      </c>
      <c r="E17" s="21" t="s">
        <v>54</v>
      </c>
      <c r="F17" s="21" t="s">
        <v>37</v>
      </c>
      <c r="G17" s="26">
        <v>1</v>
      </c>
      <c r="H17" s="19">
        <v>2.2000000000000002</v>
      </c>
      <c r="I17" s="19">
        <v>20.3</v>
      </c>
      <c r="J17" s="19"/>
      <c r="K17" s="19">
        <v>15</v>
      </c>
      <c r="L17" s="19"/>
      <c r="M17" s="19"/>
      <c r="N17" s="19"/>
      <c r="O17" s="19"/>
      <c r="P17" s="19"/>
      <c r="Q17" s="19"/>
      <c r="R17" s="19">
        <v>5</v>
      </c>
    </row>
    <row r="18" spans="4:18">
      <c r="D18" s="19" t="s">
        <v>55</v>
      </c>
      <c r="E18" s="21" t="s">
        <v>56</v>
      </c>
      <c r="F18" s="21" t="s">
        <v>37</v>
      </c>
      <c r="G18" s="26">
        <v>1</v>
      </c>
      <c r="H18" s="19">
        <v>2.2599999999999998</v>
      </c>
      <c r="I18" s="19">
        <v>20.3</v>
      </c>
      <c r="J18" s="19"/>
      <c r="K18" s="19">
        <v>15</v>
      </c>
      <c r="L18" s="19"/>
      <c r="M18" s="19"/>
      <c r="N18" s="19"/>
      <c r="O18" s="19"/>
      <c r="P18" s="19"/>
      <c r="Q18" s="19"/>
      <c r="R18" s="19">
        <v>5</v>
      </c>
    </row>
    <row r="19" spans="4:18">
      <c r="H19">
        <f>SUM(H4:H18)</f>
        <v>43.073000000000008</v>
      </c>
      <c r="I19">
        <f t="shared" ref="I19:R19" si="0">SUM(I4:I18)</f>
        <v>273.11600000000004</v>
      </c>
      <c r="J19">
        <f t="shared" si="0"/>
        <v>5.22</v>
      </c>
      <c r="K19">
        <f t="shared" si="0"/>
        <v>97.593999999999994</v>
      </c>
      <c r="L19">
        <f t="shared" si="0"/>
        <v>99.09190000000001</v>
      </c>
      <c r="M19">
        <f t="shared" si="0"/>
        <v>13.770999999999999</v>
      </c>
      <c r="N19">
        <f t="shared" si="0"/>
        <v>14.978999999999999</v>
      </c>
      <c r="O19">
        <f t="shared" si="0"/>
        <v>3.3500000000000005</v>
      </c>
      <c r="P19">
        <f t="shared" si="0"/>
        <v>2.37</v>
      </c>
      <c r="Q19">
        <f t="shared" si="0"/>
        <v>83.436000000000007</v>
      </c>
      <c r="R19">
        <f t="shared" si="0"/>
        <v>22</v>
      </c>
    </row>
    <row r="20" spans="4:18" ht="105">
      <c r="H20" s="23" t="s">
        <v>24</v>
      </c>
      <c r="I20" s="23" t="s">
        <v>25</v>
      </c>
      <c r="J20" s="23" t="s">
        <v>26</v>
      </c>
      <c r="K20" s="23" t="s">
        <v>27</v>
      </c>
      <c r="L20" s="23" t="s">
        <v>28</v>
      </c>
      <c r="M20" s="23" t="s">
        <v>29</v>
      </c>
      <c r="N20" s="23" t="s">
        <v>30</v>
      </c>
      <c r="O20" s="23" t="s">
        <v>31</v>
      </c>
      <c r="P20" s="23" t="s">
        <v>32</v>
      </c>
      <c r="Q20" s="23" t="s">
        <v>33</v>
      </c>
      <c r="R20" s="23" t="s">
        <v>34</v>
      </c>
    </row>
    <row r="24" spans="4:18">
      <c r="H24" s="42" t="s">
        <v>57</v>
      </c>
      <c r="I24" s="42"/>
      <c r="J24" s="42"/>
      <c r="K24" s="42"/>
      <c r="L24" s="42"/>
      <c r="M24" s="42"/>
      <c r="N24" s="42"/>
    </row>
    <row r="25" spans="4:18">
      <c r="H25" s="19" t="s">
        <v>59</v>
      </c>
      <c r="I25" s="19" t="s">
        <v>60</v>
      </c>
      <c r="J25" s="19" t="s">
        <v>61</v>
      </c>
      <c r="K25" s="19" t="s">
        <v>62</v>
      </c>
      <c r="L25" s="19" t="s">
        <v>12</v>
      </c>
      <c r="M25" s="19" t="s">
        <v>63</v>
      </c>
      <c r="N25" s="19" t="s">
        <v>64</v>
      </c>
    </row>
    <row r="26" spans="4:18">
      <c r="H26" s="19" t="s">
        <v>58</v>
      </c>
      <c r="I26" s="19">
        <v>2.5</v>
      </c>
      <c r="J26" s="19">
        <v>1</v>
      </c>
      <c r="K26" s="19">
        <v>0.5</v>
      </c>
      <c r="L26" s="19">
        <v>105.22</v>
      </c>
      <c r="M26" s="19">
        <f>1.5*L26</f>
        <v>157.82999999999998</v>
      </c>
      <c r="N26" s="19">
        <f>3.9142*0.4*L26</f>
        <v>164.74084960000002</v>
      </c>
    </row>
    <row r="27" spans="4:18">
      <c r="H27" s="19" t="s">
        <v>65</v>
      </c>
      <c r="I27" s="19">
        <v>4</v>
      </c>
      <c r="J27" s="19">
        <v>2</v>
      </c>
      <c r="K27" s="19">
        <v>0.5</v>
      </c>
      <c r="L27" s="19">
        <v>10</v>
      </c>
      <c r="M27" s="19">
        <f>2.5*L27</f>
        <v>25</v>
      </c>
      <c r="N27" s="19">
        <f>6.2361*0.4*L27</f>
        <v>24.944400000000005</v>
      </c>
    </row>
    <row r="28" spans="4:18">
      <c r="H28" s="19" t="s">
        <v>66</v>
      </c>
      <c r="I28" s="19">
        <v>2</v>
      </c>
      <c r="J28" s="19">
        <v>1</v>
      </c>
      <c r="K28" s="19">
        <v>0.5</v>
      </c>
      <c r="L28" s="19">
        <v>81.47</v>
      </c>
      <c r="M28" s="19">
        <f>1.25*L28</f>
        <v>101.83750000000001</v>
      </c>
      <c r="N28" s="19">
        <f>3.4142*0.4*L28</f>
        <v>111.26194960000002</v>
      </c>
    </row>
    <row r="29" spans="4:18">
      <c r="L29">
        <f>SUM(L26:L28)</f>
        <v>196.69</v>
      </c>
      <c r="M29">
        <f t="shared" ref="M29:N29" si="1">SUM(M26:M28)</f>
        <v>284.66750000000002</v>
      </c>
      <c r="N29">
        <f t="shared" si="1"/>
        <v>300.94719920000006</v>
      </c>
    </row>
    <row r="32" spans="4:18">
      <c r="H32" t="s">
        <v>67</v>
      </c>
    </row>
    <row r="33" spans="7:9">
      <c r="G33" t="s">
        <v>19</v>
      </c>
      <c r="H33">
        <f>((16*16)-(8*8))*2</f>
        <v>384</v>
      </c>
      <c r="I33" t="s">
        <v>68</v>
      </c>
    </row>
    <row r="34" spans="7:9">
      <c r="G34" t="s">
        <v>64</v>
      </c>
      <c r="H34">
        <f>33.2982*12*0.4</f>
        <v>159.83136000000002</v>
      </c>
      <c r="I34" t="s">
        <v>69</v>
      </c>
    </row>
  </sheetData>
  <mergeCells count="1">
    <mergeCell ref="H24:N2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ACESSO</vt:lpstr>
      <vt:lpstr>Plan1</vt:lpstr>
      <vt:lpstr>ACESSO!Area_de_impressao</vt:lpstr>
      <vt:lpstr>ACESSO!Titulos_de_impressao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Silva</dc:creator>
  <cp:lastModifiedBy>Derek.Rosa</cp:lastModifiedBy>
  <cp:lastPrinted>2018-03-07T19:20:23Z</cp:lastPrinted>
  <dcterms:created xsi:type="dcterms:W3CDTF">2016-11-16T21:26:51Z</dcterms:created>
  <dcterms:modified xsi:type="dcterms:W3CDTF">2018-05-04T18:47:39Z</dcterms:modified>
</cp:coreProperties>
</file>